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7" windowWidth="11357" windowHeight="5896" activeTab="0"/>
  </bookViews>
  <sheets>
    <sheet name="Дотации-приложение" sheetId="1" r:id="rId1"/>
  </sheets>
  <definedNames>
    <definedName name="_xlnm.Print_Area" localSheetId="0">'Дотации-приложение'!$A$2:$T$21</definedName>
  </definedNames>
  <calcPr fullCalcOnLoad="1"/>
</workbook>
</file>

<file path=xl/comments1.xml><?xml version="1.0" encoding="utf-8"?>
<comments xmlns="http://schemas.openxmlformats.org/spreadsheetml/2006/main">
  <authors>
    <author>Melnichenko</author>
  </authors>
  <commentList>
    <comment ref="I11" authorId="0">
      <text>
        <r>
          <rPr>
            <b/>
            <sz val="8"/>
            <rFont val="Tahoma"/>
            <family val="0"/>
          </rPr>
          <t>Melnichenko:</t>
        </r>
        <r>
          <rPr>
            <sz val="8"/>
            <rFont val="Tahoma"/>
            <family val="0"/>
          </rPr>
          <t xml:space="preserve">
к-0,5</t>
        </r>
      </text>
    </comment>
    <comment ref="I18" authorId="0">
      <text>
        <r>
          <rPr>
            <b/>
            <sz val="8"/>
            <rFont val="Tahoma"/>
            <family val="0"/>
          </rPr>
          <t>Melnichenko:</t>
        </r>
        <r>
          <rPr>
            <sz val="8"/>
            <rFont val="Tahoma"/>
            <family val="0"/>
          </rPr>
          <t xml:space="preserve">
к0,7</t>
        </r>
      </text>
    </comment>
  </commentList>
</comments>
</file>

<file path=xl/sharedStrings.xml><?xml version="1.0" encoding="utf-8"?>
<sst xmlns="http://schemas.openxmlformats.org/spreadsheetml/2006/main" count="48" uniqueCount="48">
  <si>
    <t>%</t>
  </si>
  <si>
    <t>ПБУ</t>
  </si>
  <si>
    <t>К жку     (жку)</t>
  </si>
  <si>
    <t>БО</t>
  </si>
  <si>
    <t>ИБР 2</t>
  </si>
  <si>
    <t>БО2</t>
  </si>
  <si>
    <t xml:space="preserve">НП + ОФФПП </t>
  </si>
  <si>
    <t xml:space="preserve">Итого доходы </t>
  </si>
  <si>
    <t>стоимость ЖКУ на чел 2009 г.</t>
  </si>
  <si>
    <t>Протяженность  дорог</t>
  </si>
  <si>
    <t>ИБР дор</t>
  </si>
  <si>
    <t>ИБР по ЖКХ</t>
  </si>
  <si>
    <t>ИБР  прочее</t>
  </si>
  <si>
    <t>Расчетная  бюджетная обеспеченность</t>
  </si>
  <si>
    <t>Индекс налогового потенциала</t>
  </si>
  <si>
    <t>6=    5/итого5</t>
  </si>
  <si>
    <t>7= ((4*6)/3)/(итого4/итого3)</t>
  </si>
  <si>
    <t>9=(8/3)/(итого8/итого3)</t>
  </si>
  <si>
    <t>численность  в пунктах с числ. Менее 500 чел.</t>
  </si>
  <si>
    <t>Коэффициент удорожания</t>
  </si>
  <si>
    <t>Доходы с дот</t>
  </si>
  <si>
    <t>ОФФП 2009</t>
  </si>
  <si>
    <t>РФФП 2009</t>
  </si>
  <si>
    <t>итог 2009</t>
  </si>
  <si>
    <t>Иной межб трансф</t>
  </si>
  <si>
    <t>БО 1</t>
  </si>
  <si>
    <t>Численность населения</t>
  </si>
  <si>
    <t>№      п/п</t>
  </si>
  <si>
    <t>Наименование муниципального образования</t>
  </si>
  <si>
    <t>Индекс бюджетных расходов</t>
  </si>
  <si>
    <t>5=4/3</t>
  </si>
  <si>
    <t>Недостаток средств для доведения БО до критерия выравнивания                                         (тыс. руб.)</t>
  </si>
  <si>
    <t>Дотация на выравнивание бюджетной обеспеченности                                        (тыс. руб.)</t>
  </si>
  <si>
    <t>Бюджетная обеспеченность с учетом дотации</t>
  </si>
  <si>
    <t>Кировское ГП</t>
  </si>
  <si>
    <t>Отрадненское ГП</t>
  </si>
  <si>
    <t>Мгинское ГП</t>
  </si>
  <si>
    <t>Назиевское ГП</t>
  </si>
  <si>
    <t>Павловское ГП</t>
  </si>
  <si>
    <t>Приладожское ГП</t>
  </si>
  <si>
    <t xml:space="preserve"> Синявинское ГП</t>
  </si>
  <si>
    <t>Шлиссельбургское ГП</t>
  </si>
  <si>
    <t>Путиловское СП</t>
  </si>
  <si>
    <t>Суховское СП</t>
  </si>
  <si>
    <t>Шумское СП</t>
  </si>
  <si>
    <t>Всего</t>
  </si>
  <si>
    <t xml:space="preserve"> Распределение дотаций на выравнивание бюджетной обеспеченности поселений на 2009 год</t>
  </si>
  <si>
    <t>УТВЕРЖДЕНО                           Решением Совета депутатов МО Кировский район Ленинградской области                                             от "26" ноября 2008 г.№86            (приложение 17)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</si>
</sst>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1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i/>
      <sz val="9"/>
      <name val="Arial Cyr"/>
      <family val="2"/>
    </font>
    <font>
      <b/>
      <sz val="12"/>
      <name val="Arial Cyr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167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13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7" fontId="0" fillId="0" borderId="0" xfId="0" applyNumberFormat="1" applyAlignment="1">
      <alignment/>
    </xf>
    <xf numFmtId="1" fontId="5" fillId="0" borderId="1" xfId="0" applyNumberFormat="1" applyFont="1" applyBorder="1" applyAlignment="1">
      <alignment horizontal="center" wrapText="1"/>
    </xf>
    <xf numFmtId="1" fontId="13" fillId="0" borderId="1" xfId="0" applyNumberFormat="1" applyFont="1" applyBorder="1" applyAlignment="1">
      <alignment/>
    </xf>
    <xf numFmtId="165" fontId="4" fillId="0" borderId="2" xfId="0" applyNumberFormat="1" applyFont="1" applyFill="1" applyBorder="1" applyAlignment="1">
      <alignment vertical="top" wrapText="1"/>
    </xf>
    <xf numFmtId="1" fontId="13" fillId="0" borderId="2" xfId="0" applyNumberFormat="1" applyFont="1" applyBorder="1" applyAlignment="1">
      <alignment/>
    </xf>
    <xf numFmtId="165" fontId="13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167" fontId="0" fillId="0" borderId="1" xfId="0" applyNumberFormat="1" applyBorder="1" applyAlignment="1">
      <alignment horizontal="left" indent="1"/>
    </xf>
    <xf numFmtId="167" fontId="6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0" borderId="1" xfId="15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center"/>
    </xf>
    <xf numFmtId="169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3" fillId="0" borderId="0" xfId="0" applyFont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&#1052;&#1086;&#1080;%20&#1076;&#1086;&#1082;&#1091;&#1084;&#1077;&#1085;&#1090;&#1099;/&#1082;0,7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2"/>
  <sheetViews>
    <sheetView tabSelected="1" view="pageBreakPreview" zoomScale="95" zoomScaleSheetLayoutView="95" workbookViewId="0" topLeftCell="A1">
      <selection activeCell="R7" sqref="R7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11.875" style="0" hidden="1" customWidth="1"/>
    <col min="4" max="4" width="5.75390625" style="0" hidden="1" customWidth="1"/>
    <col min="5" max="5" width="6.875" style="0" hidden="1" customWidth="1"/>
    <col min="6" max="6" width="7.75390625" style="0" hidden="1" customWidth="1"/>
    <col min="7" max="7" width="8.875" style="0" hidden="1" customWidth="1"/>
    <col min="8" max="8" width="6.375" style="0" hidden="1" customWidth="1"/>
    <col min="9" max="9" width="8.625" style="0" hidden="1" customWidth="1"/>
    <col min="10" max="10" width="6.375" style="0" hidden="1" customWidth="1"/>
    <col min="11" max="11" width="13.00390625" style="0" hidden="1" customWidth="1"/>
    <col min="12" max="12" width="0.37109375" style="0" hidden="1" customWidth="1"/>
    <col min="13" max="13" width="10.25390625" style="0" hidden="1" customWidth="1"/>
    <col min="14" max="14" width="10.75390625" style="0" hidden="1" customWidth="1"/>
    <col min="15" max="15" width="0.12890625" style="0" hidden="1" customWidth="1"/>
    <col min="16" max="16" width="1.12109375" style="0" hidden="1" customWidth="1"/>
    <col min="17" max="17" width="13.375" style="0" hidden="1" customWidth="1"/>
    <col min="18" max="18" width="30.375" style="0" customWidth="1"/>
    <col min="19" max="19" width="8.875" style="0" hidden="1" customWidth="1"/>
    <col min="20" max="20" width="17.00390625" style="0" hidden="1" customWidth="1"/>
    <col min="21" max="21" width="6.625" style="0" hidden="1" customWidth="1"/>
    <col min="22" max="22" width="8.00390625" style="0" hidden="1" customWidth="1"/>
    <col min="23" max="23" width="7.875" style="0" hidden="1" customWidth="1"/>
    <col min="24" max="24" width="7.125" style="0" hidden="1" customWidth="1"/>
    <col min="25" max="25" width="8.00390625" style="0" hidden="1" customWidth="1"/>
    <col min="26" max="26" width="8.125" style="0" hidden="1" customWidth="1"/>
    <col min="27" max="27" width="6.375" style="0" hidden="1" customWidth="1"/>
    <col min="28" max="28" width="8.375" style="0" hidden="1" customWidth="1"/>
    <col min="29" max="32" width="0" style="0" hidden="1" customWidth="1"/>
  </cols>
  <sheetData>
    <row r="2" spans="2:18" ht="90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 t="s">
        <v>47</v>
      </c>
    </row>
    <row r="3" spans="2:20" ht="51" customHeight="1">
      <c r="B3" s="58" t="s">
        <v>46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2.7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6" spans="1:32" ht="128.25" customHeight="1">
      <c r="A6" s="47" t="s">
        <v>27</v>
      </c>
      <c r="B6" s="47" t="s">
        <v>28</v>
      </c>
      <c r="C6" s="48" t="s">
        <v>26</v>
      </c>
      <c r="D6" s="48" t="s">
        <v>1</v>
      </c>
      <c r="E6" s="48" t="s">
        <v>8</v>
      </c>
      <c r="F6" s="48" t="s">
        <v>2</v>
      </c>
      <c r="G6" s="17" t="s">
        <v>11</v>
      </c>
      <c r="H6" s="48" t="s">
        <v>9</v>
      </c>
      <c r="I6" s="17" t="s">
        <v>10</v>
      </c>
      <c r="J6" s="17" t="s">
        <v>12</v>
      </c>
      <c r="K6" s="49" t="s">
        <v>29</v>
      </c>
      <c r="L6" s="50" t="s">
        <v>6</v>
      </c>
      <c r="M6" s="49" t="s">
        <v>14</v>
      </c>
      <c r="N6" s="49" t="s">
        <v>13</v>
      </c>
      <c r="O6" s="49" t="s">
        <v>4</v>
      </c>
      <c r="P6" s="49" t="s">
        <v>5</v>
      </c>
      <c r="Q6" s="51" t="s">
        <v>31</v>
      </c>
      <c r="R6" s="52" t="s">
        <v>32</v>
      </c>
      <c r="S6" s="52" t="s">
        <v>7</v>
      </c>
      <c r="T6" s="48" t="s">
        <v>33</v>
      </c>
      <c r="U6" s="18" t="s">
        <v>18</v>
      </c>
      <c r="V6" s="24" t="s">
        <v>19</v>
      </c>
      <c r="W6" s="1">
        <v>2008</v>
      </c>
      <c r="X6" s="3" t="s">
        <v>21</v>
      </c>
      <c r="Y6" s="3" t="s">
        <v>22</v>
      </c>
      <c r="Z6" s="3" t="s">
        <v>23</v>
      </c>
      <c r="AA6" s="1" t="s">
        <v>0</v>
      </c>
      <c r="AB6" s="1"/>
      <c r="AC6" s="3" t="s">
        <v>24</v>
      </c>
      <c r="AD6" s="28" t="s">
        <v>20</v>
      </c>
      <c r="AE6" s="28" t="s">
        <v>25</v>
      </c>
      <c r="AF6" s="3" t="s">
        <v>3</v>
      </c>
    </row>
    <row r="7" spans="1:32" s="9" customFormat="1" ht="17.25" customHeight="1">
      <c r="A7" s="55">
        <v>1</v>
      </c>
      <c r="B7" s="22">
        <v>2</v>
      </c>
      <c r="C7" s="22">
        <v>3</v>
      </c>
      <c r="D7" s="22">
        <v>4</v>
      </c>
      <c r="E7" s="22">
        <v>5</v>
      </c>
      <c r="F7" s="22" t="s">
        <v>15</v>
      </c>
      <c r="G7" s="22" t="s">
        <v>16</v>
      </c>
      <c r="H7" s="22">
        <v>8</v>
      </c>
      <c r="I7" s="31" t="s">
        <v>17</v>
      </c>
      <c r="J7" s="22">
        <v>10</v>
      </c>
      <c r="K7" s="22">
        <v>3</v>
      </c>
      <c r="L7" s="22">
        <v>12</v>
      </c>
      <c r="M7" s="22">
        <v>4</v>
      </c>
      <c r="N7" s="22" t="s">
        <v>30</v>
      </c>
      <c r="O7" s="22"/>
      <c r="P7" s="22"/>
      <c r="Q7" s="22">
        <v>6</v>
      </c>
      <c r="R7" s="31">
        <v>3</v>
      </c>
      <c r="S7" s="31">
        <v>8</v>
      </c>
      <c r="T7" s="31">
        <v>8</v>
      </c>
      <c r="U7" s="23"/>
      <c r="V7" s="25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9" customFormat="1" ht="23.25" customHeight="1" hidden="1">
      <c r="A8" s="6"/>
      <c r="B8" s="7"/>
      <c r="C8" s="7"/>
      <c r="D8" s="7"/>
      <c r="E8" s="8"/>
      <c r="F8" s="7"/>
      <c r="G8" s="12">
        <v>0.37</v>
      </c>
      <c r="H8" s="13"/>
      <c r="I8" s="14">
        <v>0.097</v>
      </c>
      <c r="J8" s="15">
        <v>0.533</v>
      </c>
      <c r="K8" s="11"/>
      <c r="L8" s="11"/>
      <c r="M8" s="11"/>
      <c r="N8" s="11"/>
      <c r="O8" s="11"/>
      <c r="P8" s="11"/>
      <c r="Q8" s="30"/>
      <c r="R8" s="16"/>
      <c r="S8" s="10"/>
      <c r="T8" s="10"/>
      <c r="U8" s="19"/>
      <c r="V8" s="26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5.75">
      <c r="A9" s="1">
        <v>1</v>
      </c>
      <c r="B9" s="57" t="s">
        <v>34</v>
      </c>
      <c r="C9" s="32">
        <v>24.5</v>
      </c>
      <c r="D9" s="33">
        <v>24.05</v>
      </c>
      <c r="E9" s="34">
        <v>1205.3</v>
      </c>
      <c r="F9" s="35">
        <f>E9/E21</f>
        <v>1.0702361925057715</v>
      </c>
      <c r="G9" s="36">
        <f>((D9*F9)/C9)/(D21/C21)</f>
        <v>1.3059909465157375</v>
      </c>
      <c r="H9" s="34">
        <v>85.1</v>
      </c>
      <c r="I9" s="37">
        <f>(H9/C9)/(H21/C21)</f>
        <v>0.659625196232339</v>
      </c>
      <c r="J9" s="38">
        <v>1</v>
      </c>
      <c r="K9" s="37">
        <f>G9*G8+I9*I8+(J9*J8*V9)</f>
        <v>1.0564051718025502</v>
      </c>
      <c r="L9" s="38">
        <v>71495</v>
      </c>
      <c r="M9" s="37">
        <f>(L9/C9)/(L21/C21)</f>
        <v>1.075516488760378</v>
      </c>
      <c r="N9" s="37">
        <f aca="true" t="shared" si="0" ref="N9:N19">M9/K9</f>
        <v>1.01809089681492</v>
      </c>
      <c r="O9" s="37"/>
      <c r="P9" s="37"/>
      <c r="Q9" s="38">
        <f aca="true" t="shared" si="1" ref="Q9:Q19">R9</f>
        <v>6278.716224863123</v>
      </c>
      <c r="R9" s="56">
        <f>(L21/C21)*(1.1075-N9)*C9*K9</f>
        <v>6278.716224863123</v>
      </c>
      <c r="S9" s="34">
        <f aca="true" t="shared" si="2" ref="S9:S19">L9+R9</f>
        <v>77773.71622486312</v>
      </c>
      <c r="T9" s="39">
        <v>1.1075</v>
      </c>
      <c r="U9" s="20">
        <v>0</v>
      </c>
      <c r="V9" s="27">
        <f>(1+U9/C9)/(1+U21/C21)</f>
        <v>0.9553562430716517</v>
      </c>
      <c r="W9" s="1">
        <v>4357.7</v>
      </c>
      <c r="X9" s="1">
        <v>0</v>
      </c>
      <c r="Y9" s="4">
        <f aca="true" t="shared" si="3" ref="Y9:Y19">R9</f>
        <v>6278.716224863123</v>
      </c>
      <c r="Z9" s="4">
        <f>R9</f>
        <v>6278.716224863123</v>
      </c>
      <c r="AA9" s="5">
        <f aca="true" t="shared" si="4" ref="AA9:AA14">Z9/W9</f>
        <v>1.4408326008819154</v>
      </c>
      <c r="AB9" s="1"/>
      <c r="AC9" s="1"/>
      <c r="AD9" s="4">
        <f aca="true" t="shared" si="5" ref="AD9:AD19">L9+Y9+AC9</f>
        <v>77773.71622486312</v>
      </c>
      <c r="AE9" s="4">
        <f aca="true" t="shared" si="6" ref="AE9:AE19">(L9+R9)/C9</f>
        <v>3174.4373969331887</v>
      </c>
      <c r="AF9" s="29">
        <f aca="true" t="shared" si="7" ref="AF9:AF19">AD9/C9</f>
        <v>3174.4373969331887</v>
      </c>
    </row>
    <row r="10" spans="1:32" ht="15.75">
      <c r="A10" s="1">
        <v>2</v>
      </c>
      <c r="B10" s="57" t="s">
        <v>35</v>
      </c>
      <c r="C10" s="32">
        <v>21.5</v>
      </c>
      <c r="D10" s="33">
        <v>17.03</v>
      </c>
      <c r="E10" s="34">
        <v>1129.9</v>
      </c>
      <c r="F10" s="35">
        <f>E10/E21</f>
        <v>1.0032853844787781</v>
      </c>
      <c r="G10" s="36">
        <f>((D10*F10)/C10)/(D21/C21)</f>
        <v>0.9878982363026465</v>
      </c>
      <c r="H10" s="34">
        <v>64.2</v>
      </c>
      <c r="I10" s="37">
        <f>(H10/C10)/(H21/C21)</f>
        <v>0.567061717352415</v>
      </c>
      <c r="J10" s="38">
        <v>1</v>
      </c>
      <c r="K10" s="37">
        <f>G10*G8+I10*I8+(J10*J8*V10)</f>
        <v>0.9297322115723539</v>
      </c>
      <c r="L10" s="38">
        <v>52407.9</v>
      </c>
      <c r="M10" s="37">
        <f>(L10/C10)/(L21/C21)</f>
        <v>0.8983918110955706</v>
      </c>
      <c r="N10" s="37">
        <f t="shared" si="0"/>
        <v>0.9662909383081602</v>
      </c>
      <c r="O10" s="37"/>
      <c r="P10" s="37"/>
      <c r="Q10" s="38">
        <f t="shared" si="1"/>
        <v>7658.635811277456</v>
      </c>
      <c r="R10" s="56">
        <f>(L21/C21)*(1.1075-N10)*K10*C10</f>
        <v>7658.635811277456</v>
      </c>
      <c r="S10" s="34">
        <f t="shared" si="2"/>
        <v>60066.535811277456</v>
      </c>
      <c r="T10" s="39">
        <v>1.1075</v>
      </c>
      <c r="U10" s="20">
        <v>0</v>
      </c>
      <c r="V10" s="27">
        <f>(1+U10/C10)/(1+U21/C21)</f>
        <v>0.9553562430716517</v>
      </c>
      <c r="W10" s="1">
        <v>9998.3</v>
      </c>
      <c r="X10" s="1">
        <v>3002.9</v>
      </c>
      <c r="Y10" s="4">
        <f t="shared" si="3"/>
        <v>7658.635811277456</v>
      </c>
      <c r="Z10" s="1">
        <f aca="true" t="shared" si="8" ref="Z10:Z19">X10+Y10</f>
        <v>10661.535811277456</v>
      </c>
      <c r="AA10" s="5">
        <f t="shared" si="4"/>
        <v>1.0663348580536147</v>
      </c>
      <c r="AB10" s="1"/>
      <c r="AC10" s="1"/>
      <c r="AD10" s="4">
        <f t="shared" si="5"/>
        <v>60066.535811277456</v>
      </c>
      <c r="AE10" s="4">
        <f t="shared" si="6"/>
        <v>2793.7923633152304</v>
      </c>
      <c r="AF10" s="29">
        <f t="shared" si="7"/>
        <v>2793.7923633152304</v>
      </c>
    </row>
    <row r="11" spans="1:32" ht="15.75">
      <c r="A11" s="1">
        <v>3</v>
      </c>
      <c r="B11" s="57" t="s">
        <v>36</v>
      </c>
      <c r="C11" s="32">
        <v>11.5</v>
      </c>
      <c r="D11" s="33">
        <v>7.6</v>
      </c>
      <c r="E11" s="34">
        <v>1118.5</v>
      </c>
      <c r="F11" s="35">
        <f>E11/E21</f>
        <v>0.9931628485171372</v>
      </c>
      <c r="G11" s="36">
        <f>((D11*F11)/C11)/(D21/C21)</f>
        <v>0.8159203287376444</v>
      </c>
      <c r="H11" s="34">
        <v>106.1</v>
      </c>
      <c r="I11" s="37">
        <f>(H11/C11)/(H21/C21)*0.5</f>
        <v>0.8760346989966554</v>
      </c>
      <c r="J11" s="38">
        <v>1</v>
      </c>
      <c r="K11" s="37">
        <f>G11*G8+I11*I8+(J11*J8*V11)</f>
        <v>0.9387111386525834</v>
      </c>
      <c r="L11" s="38">
        <v>26729.1</v>
      </c>
      <c r="M11" s="37">
        <f>(L11/C11)/(L21/C21)</f>
        <v>0.8566313857196011</v>
      </c>
      <c r="N11" s="37">
        <f t="shared" si="0"/>
        <v>0.9125612240515237</v>
      </c>
      <c r="O11" s="37"/>
      <c r="P11" s="37"/>
      <c r="Q11" s="38">
        <f t="shared" si="1"/>
        <v>5709.795571930005</v>
      </c>
      <c r="R11" s="56">
        <f>(L21/C21)*(1.1075-N11)*K11*C11</f>
        <v>5709.795571930005</v>
      </c>
      <c r="S11" s="34">
        <f t="shared" si="2"/>
        <v>32438.895571930003</v>
      </c>
      <c r="T11" s="39">
        <v>1.1075</v>
      </c>
      <c r="U11" s="20">
        <v>0.963</v>
      </c>
      <c r="V11" s="27">
        <f>(1+U11/C11)/(1+U21/C21)</f>
        <v>1.0353569441219124</v>
      </c>
      <c r="W11" s="1">
        <v>10678.4</v>
      </c>
      <c r="X11" s="1">
        <v>6109.1</v>
      </c>
      <c r="Y11" s="4">
        <f t="shared" si="3"/>
        <v>5709.795571930005</v>
      </c>
      <c r="Z11" s="1">
        <f t="shared" si="8"/>
        <v>11818.895571930007</v>
      </c>
      <c r="AA11" s="5">
        <f t="shared" si="4"/>
        <v>1.106803975495393</v>
      </c>
      <c r="AB11" s="1"/>
      <c r="AC11" s="1"/>
      <c r="AD11" s="4">
        <f t="shared" si="5"/>
        <v>32438.895571930003</v>
      </c>
      <c r="AE11" s="4">
        <f t="shared" si="6"/>
        <v>2820.7735279939134</v>
      </c>
      <c r="AF11" s="29">
        <f t="shared" si="7"/>
        <v>2820.7735279939134</v>
      </c>
    </row>
    <row r="12" spans="1:32" ht="15.75">
      <c r="A12" s="1">
        <v>4</v>
      </c>
      <c r="B12" s="57" t="s">
        <v>37</v>
      </c>
      <c r="C12" s="32">
        <v>5.4</v>
      </c>
      <c r="D12" s="33">
        <v>4.17</v>
      </c>
      <c r="E12" s="34">
        <v>1222.7</v>
      </c>
      <c r="F12" s="35">
        <f>E12/E21</f>
        <v>1.0856863789735394</v>
      </c>
      <c r="G12" s="36">
        <f>((D12*F12)/C12)/(D21/C21)</f>
        <v>1.0422171629957542</v>
      </c>
      <c r="H12" s="34">
        <v>81.1</v>
      </c>
      <c r="I12" s="40">
        <f>(H12/C12)/(H21/C21)</f>
        <v>2.85207443019943</v>
      </c>
      <c r="J12" s="38">
        <v>1</v>
      </c>
      <c r="K12" s="37">
        <f>G12*G8+I12*I8+(J12*J8*V12)</f>
        <v>1.200142796257443</v>
      </c>
      <c r="L12" s="38">
        <v>12666.8</v>
      </c>
      <c r="M12" s="37">
        <f>(L12/C12)/(L21/C21)</f>
        <v>0.8645311388411879</v>
      </c>
      <c r="N12" s="37">
        <f t="shared" si="0"/>
        <v>0.7203568954770755</v>
      </c>
      <c r="O12" s="37"/>
      <c r="P12" s="37"/>
      <c r="Q12" s="38">
        <f t="shared" si="1"/>
        <v>6807.548185019129</v>
      </c>
      <c r="R12" s="56">
        <f>(L21/C21)*(1.1075-N12)*K12*C12</f>
        <v>6807.548185019129</v>
      </c>
      <c r="S12" s="34">
        <f t="shared" si="2"/>
        <v>19474.348185019127</v>
      </c>
      <c r="T12" s="39">
        <v>1.1075</v>
      </c>
      <c r="U12" s="20">
        <v>0.304</v>
      </c>
      <c r="V12" s="27">
        <f>(1+U12/C12)/(1+U21/94.8)</f>
        <v>1.0091392612001298</v>
      </c>
      <c r="W12" s="1">
        <v>11524.6</v>
      </c>
      <c r="X12" s="1">
        <v>4556.8</v>
      </c>
      <c r="Y12" s="4">
        <f t="shared" si="3"/>
        <v>6807.548185019129</v>
      </c>
      <c r="Z12" s="1">
        <f t="shared" si="8"/>
        <v>11364.34818501913</v>
      </c>
      <c r="AA12" s="5">
        <f t="shared" si="4"/>
        <v>0.9860948045935762</v>
      </c>
      <c r="AB12" s="1">
        <f>Z12-W12</f>
        <v>-160.25181498087113</v>
      </c>
      <c r="AC12" s="2">
        <v>240</v>
      </c>
      <c r="AD12" s="4">
        <f t="shared" si="5"/>
        <v>19714.348185019127</v>
      </c>
      <c r="AE12" s="4">
        <f t="shared" si="6"/>
        <v>3606.3607750035417</v>
      </c>
      <c r="AF12" s="29">
        <f t="shared" si="7"/>
        <v>3650.8052194479865</v>
      </c>
    </row>
    <row r="13" spans="1:32" ht="15.75">
      <c r="A13" s="1">
        <v>5</v>
      </c>
      <c r="B13" s="57" t="s">
        <v>38</v>
      </c>
      <c r="C13" s="32">
        <v>3.8</v>
      </c>
      <c r="D13" s="33">
        <v>2.27</v>
      </c>
      <c r="E13" s="34">
        <v>947.7</v>
      </c>
      <c r="F13" s="35">
        <f>E13/E21</f>
        <v>0.8415023974427278</v>
      </c>
      <c r="G13" s="36">
        <f>((D13*F13)/C13)/(D21/C21)</f>
        <v>0.6248980286281185</v>
      </c>
      <c r="H13" s="34">
        <v>23.2</v>
      </c>
      <c r="I13" s="37">
        <f>(H13/C13)/(H21/C21)</f>
        <v>1.159412955465587</v>
      </c>
      <c r="J13" s="38">
        <v>1</v>
      </c>
      <c r="K13" s="37">
        <f>G13*G8+I13*I8+(J13*J8*V13)</f>
        <v>0.906882722107532</v>
      </c>
      <c r="L13" s="38">
        <v>12747</v>
      </c>
      <c r="M13" s="37">
        <f>(L13/C13)/(L21/C21)</f>
        <v>1.2363227929615956</v>
      </c>
      <c r="N13" s="37">
        <f t="shared" si="0"/>
        <v>1.3632664542207487</v>
      </c>
      <c r="O13" s="37"/>
      <c r="P13" s="37"/>
      <c r="Q13" s="38">
        <f t="shared" si="1"/>
        <v>0</v>
      </c>
      <c r="R13" s="56">
        <v>0</v>
      </c>
      <c r="S13" s="34">
        <f t="shared" si="2"/>
        <v>12747</v>
      </c>
      <c r="T13" s="39">
        <v>1.3633</v>
      </c>
      <c r="U13" s="20">
        <v>0.403</v>
      </c>
      <c r="V13" s="27">
        <f>(1+U13/C13)/(1+U21/94.8)</f>
        <v>1.056674286744777</v>
      </c>
      <c r="W13" s="1">
        <v>3276.5</v>
      </c>
      <c r="X13" s="1">
        <v>0</v>
      </c>
      <c r="Y13" s="4">
        <f t="shared" si="3"/>
        <v>0</v>
      </c>
      <c r="Z13" s="1">
        <f t="shared" si="8"/>
        <v>0</v>
      </c>
      <c r="AA13" s="5">
        <f t="shared" si="4"/>
        <v>0</v>
      </c>
      <c r="AB13" s="1">
        <f>Z13-W13</f>
        <v>-3276.5</v>
      </c>
      <c r="AC13" s="2">
        <v>1700</v>
      </c>
      <c r="AD13" s="4">
        <f t="shared" si="5"/>
        <v>14447</v>
      </c>
      <c r="AE13" s="4">
        <f t="shared" si="6"/>
        <v>3354.4736842105267</v>
      </c>
      <c r="AF13" s="29">
        <f t="shared" si="7"/>
        <v>3801.842105263158</v>
      </c>
    </row>
    <row r="14" spans="1:32" ht="15.75">
      <c r="A14" s="1">
        <v>6</v>
      </c>
      <c r="B14" s="57" t="s">
        <v>39</v>
      </c>
      <c r="C14" s="32">
        <v>5.3</v>
      </c>
      <c r="D14" s="33">
        <v>5.17</v>
      </c>
      <c r="E14" s="34">
        <v>1748.8</v>
      </c>
      <c r="F14" s="35">
        <f>E14/E21</f>
        <v>1.5528325341857574</v>
      </c>
      <c r="G14" s="36">
        <f>((D14*F14)/C14)/(D21/C21)</f>
        <v>1.8830022176491215</v>
      </c>
      <c r="H14" s="34">
        <v>18.8</v>
      </c>
      <c r="I14" s="37">
        <f>(H14/C14)/(H21/C21)</f>
        <v>0.673621190130624</v>
      </c>
      <c r="J14" s="38">
        <v>1</v>
      </c>
      <c r="K14" s="37">
        <f>G14*G8+I14*I8+(J14*J8*V14)</f>
        <v>1.2833625789210181</v>
      </c>
      <c r="L14" s="38">
        <v>14163.2</v>
      </c>
      <c r="M14" s="37">
        <f>(L14/C14)/(L21/C21)</f>
        <v>0.9849019677414287</v>
      </c>
      <c r="N14" s="37">
        <f t="shared" si="0"/>
        <v>0.7674385897783313</v>
      </c>
      <c r="O14" s="37"/>
      <c r="P14" s="37"/>
      <c r="Q14" s="38">
        <f t="shared" si="1"/>
        <v>6275.88686495776</v>
      </c>
      <c r="R14" s="56">
        <f>(L21/C21)*(1.1075-N14)*K14*C14</f>
        <v>6275.88686495776</v>
      </c>
      <c r="S14" s="34">
        <f t="shared" si="2"/>
        <v>20439.08686495776</v>
      </c>
      <c r="T14" s="39">
        <v>1.1075</v>
      </c>
      <c r="U14" s="20">
        <v>0.126</v>
      </c>
      <c r="V14" s="27">
        <f>(1+U14/C14)/(1+U21/94.8)</f>
        <v>0.9780684858314682</v>
      </c>
      <c r="W14" s="1">
        <v>5966.1</v>
      </c>
      <c r="X14" s="1">
        <v>7079.2</v>
      </c>
      <c r="Y14" s="4">
        <f t="shared" si="3"/>
        <v>6275.88686495776</v>
      </c>
      <c r="Z14" s="1">
        <f t="shared" si="8"/>
        <v>13355.08686495776</v>
      </c>
      <c r="AA14" s="5">
        <f t="shared" si="4"/>
        <v>2.238495309323974</v>
      </c>
      <c r="AB14" s="1"/>
      <c r="AC14" s="2"/>
      <c r="AD14" s="4">
        <f t="shared" si="5"/>
        <v>20439.08686495776</v>
      </c>
      <c r="AE14" s="4">
        <f t="shared" si="6"/>
        <v>3856.4314839542944</v>
      </c>
      <c r="AF14" s="29">
        <f t="shared" si="7"/>
        <v>3856.4314839542944</v>
      </c>
    </row>
    <row r="15" spans="1:32" ht="15.75">
      <c r="A15" s="1">
        <v>7</v>
      </c>
      <c r="B15" s="57" t="s">
        <v>40</v>
      </c>
      <c r="C15" s="32">
        <v>3.8</v>
      </c>
      <c r="D15" s="33">
        <v>3.25</v>
      </c>
      <c r="E15" s="34">
        <v>1276.8</v>
      </c>
      <c r="F15" s="35">
        <f>E15/E21</f>
        <v>1.1337240277037826</v>
      </c>
      <c r="G15" s="36">
        <f>((D15*F15)/C15)/(D21/C21)</f>
        <v>1.2053652081367598</v>
      </c>
      <c r="H15" s="34">
        <v>11</v>
      </c>
      <c r="I15" s="37">
        <f>(H15/C15)/(H21/C21)</f>
        <v>0.5497216599190283</v>
      </c>
      <c r="J15" s="38">
        <v>1</v>
      </c>
      <c r="K15" s="37">
        <f>G15*G8+I15*I8+(J15*J8*V15)</f>
        <v>1.0085130055799372</v>
      </c>
      <c r="L15" s="38">
        <v>24355</v>
      </c>
      <c r="M15" s="37">
        <f>(L15/C15)/(L21/C21)</f>
        <v>2.362174756615648</v>
      </c>
      <c r="N15" s="37">
        <f t="shared" si="0"/>
        <v>2.3422352944841784</v>
      </c>
      <c r="O15" s="37"/>
      <c r="P15" s="37"/>
      <c r="Q15" s="38">
        <f t="shared" si="1"/>
        <v>0</v>
      </c>
      <c r="R15" s="56">
        <v>0</v>
      </c>
      <c r="S15" s="34">
        <f t="shared" si="2"/>
        <v>24355</v>
      </c>
      <c r="T15" s="39">
        <v>2.3422</v>
      </c>
      <c r="U15" s="20">
        <v>0</v>
      </c>
      <c r="V15" s="27">
        <f>(1+U15/C15)/(1+U21/C21)</f>
        <v>0.9553562430716517</v>
      </c>
      <c r="W15" s="1"/>
      <c r="X15" s="1">
        <v>0</v>
      </c>
      <c r="Y15" s="4">
        <f t="shared" si="3"/>
        <v>0</v>
      </c>
      <c r="Z15" s="1">
        <f t="shared" si="8"/>
        <v>0</v>
      </c>
      <c r="AA15" s="5"/>
      <c r="AB15" s="1">
        <f>Z15-W15</f>
        <v>0</v>
      </c>
      <c r="AC15" s="2"/>
      <c r="AD15" s="4">
        <f t="shared" si="5"/>
        <v>24355</v>
      </c>
      <c r="AE15" s="4">
        <f t="shared" si="6"/>
        <v>6409.21052631579</v>
      </c>
      <c r="AF15" s="29">
        <f t="shared" si="7"/>
        <v>6409.21052631579</v>
      </c>
    </row>
    <row r="16" spans="1:32" ht="15.75">
      <c r="A16" s="1">
        <v>8</v>
      </c>
      <c r="B16" s="57" t="s">
        <v>41</v>
      </c>
      <c r="C16" s="32">
        <v>12.6</v>
      </c>
      <c r="D16" s="33">
        <v>9.16</v>
      </c>
      <c r="E16" s="34">
        <v>887.7</v>
      </c>
      <c r="F16" s="35">
        <f>E16/E21</f>
        <v>0.7882258923814598</v>
      </c>
      <c r="G16" s="36">
        <f>((D16*F16)/C16)/(D21/C21)</f>
        <v>0.7123397209582749</v>
      </c>
      <c r="H16" s="34">
        <v>16.4</v>
      </c>
      <c r="I16" s="37">
        <f>(H16/C16)/(H21/C21)</f>
        <v>0.2471764346764346</v>
      </c>
      <c r="J16" s="38">
        <v>1</v>
      </c>
      <c r="K16" s="37">
        <f>G16*G8+I16*I8+(J16*J8*V16)</f>
        <v>0.7967466884753662</v>
      </c>
      <c r="L16" s="38">
        <v>28154.6</v>
      </c>
      <c r="M16" s="37">
        <f>(L16/C16)/(L21/C21)</f>
        <v>0.8235430439625562</v>
      </c>
      <c r="N16" s="37">
        <f t="shared" si="0"/>
        <v>1.033632214447564</v>
      </c>
      <c r="O16" s="37"/>
      <c r="P16" s="37"/>
      <c r="Q16" s="38">
        <f t="shared" si="1"/>
        <v>2012.0483147152488</v>
      </c>
      <c r="R16" s="56">
        <f>(L21/C21)*(1.1075-N16)*K16*C16</f>
        <v>2012.0483147152488</v>
      </c>
      <c r="S16" s="34">
        <f t="shared" si="2"/>
        <v>30166.648314715247</v>
      </c>
      <c r="T16" s="39">
        <v>1.1075</v>
      </c>
      <c r="U16" s="20">
        <v>0</v>
      </c>
      <c r="V16" s="27">
        <f>(1+U16/C16)/(1+U21/C21)</f>
        <v>0.9553562430716517</v>
      </c>
      <c r="W16" s="1">
        <v>7377.8</v>
      </c>
      <c r="X16" s="1">
        <v>4339.6</v>
      </c>
      <c r="Y16" s="4">
        <f t="shared" si="3"/>
        <v>2012.0483147152488</v>
      </c>
      <c r="Z16" s="1">
        <f t="shared" si="8"/>
        <v>6351.648314715249</v>
      </c>
      <c r="AA16" s="5">
        <f>Z16/W16</f>
        <v>0.8609135941222653</v>
      </c>
      <c r="AB16" s="1">
        <f>Z16-W16</f>
        <v>-1026.1516852847508</v>
      </c>
      <c r="AC16" s="2">
        <v>1020</v>
      </c>
      <c r="AD16" s="4">
        <f t="shared" si="5"/>
        <v>31186.648314715247</v>
      </c>
      <c r="AE16" s="4">
        <f t="shared" si="6"/>
        <v>2394.1784376758133</v>
      </c>
      <c r="AF16" s="29">
        <f t="shared" si="7"/>
        <v>2475.1308186281944</v>
      </c>
    </row>
    <row r="17" spans="1:32" ht="15">
      <c r="A17" s="1">
        <v>9</v>
      </c>
      <c r="B17" s="57" t="s">
        <v>42</v>
      </c>
      <c r="C17" s="32">
        <v>2</v>
      </c>
      <c r="D17" s="33">
        <v>1.64</v>
      </c>
      <c r="E17" s="34">
        <v>927.3</v>
      </c>
      <c r="F17" s="35">
        <f>E17/E21</f>
        <v>0.8233883857218965</v>
      </c>
      <c r="G17" s="36">
        <f>((D17*F17)/C17)/(D21/C21)</f>
        <v>0.8393249351229654</v>
      </c>
      <c r="H17" s="34">
        <v>22.4</v>
      </c>
      <c r="I17" s="37">
        <f>(H17/C17)/(H21/C21)</f>
        <v>2.1269230769230765</v>
      </c>
      <c r="J17" s="38">
        <v>1</v>
      </c>
      <c r="K17" s="37">
        <f>G17*G8+I17*I8+(J17*J8*V17)</f>
        <v>1.104738795596812</v>
      </c>
      <c r="L17" s="38">
        <v>4407.7</v>
      </c>
      <c r="M17" s="37">
        <f>(L17/C17)/(L21/C21)</f>
        <v>0.8122496235678958</v>
      </c>
      <c r="N17" s="37">
        <f t="shared" si="0"/>
        <v>0.7352413319830005</v>
      </c>
      <c r="O17" s="37"/>
      <c r="P17" s="37"/>
      <c r="Q17" s="38">
        <f t="shared" si="1"/>
        <v>2231.6543693118515</v>
      </c>
      <c r="R17" s="56">
        <f>(L21/C21)*(1.1075-N17)*K17*C17</f>
        <v>2231.6543693118515</v>
      </c>
      <c r="S17" s="34">
        <f t="shared" si="2"/>
        <v>6639.354369311852</v>
      </c>
      <c r="T17" s="39">
        <v>1.1075</v>
      </c>
      <c r="U17" s="20">
        <v>0.309</v>
      </c>
      <c r="V17" s="27">
        <f>(1+U17/C17)/(1+U21/94.8)</f>
        <v>1.102958782626222</v>
      </c>
      <c r="W17" s="1">
        <v>4093</v>
      </c>
      <c r="X17" s="1">
        <v>1139.7</v>
      </c>
      <c r="Y17" s="4">
        <f t="shared" si="3"/>
        <v>2231.6543693118515</v>
      </c>
      <c r="Z17" s="1">
        <f t="shared" si="8"/>
        <v>3371.3543693118518</v>
      </c>
      <c r="AA17" s="5">
        <f>Z17/W17</f>
        <v>0.8236878498196559</v>
      </c>
      <c r="AB17" s="1">
        <f>Z17-W17</f>
        <v>-721.6456306881482</v>
      </c>
      <c r="AC17" s="2">
        <v>720</v>
      </c>
      <c r="AD17" s="4">
        <f t="shared" si="5"/>
        <v>7359.354369311852</v>
      </c>
      <c r="AE17" s="4">
        <f t="shared" si="6"/>
        <v>3319.677184655926</v>
      </c>
      <c r="AF17" s="29">
        <f t="shared" si="7"/>
        <v>3679.677184655926</v>
      </c>
    </row>
    <row r="18" spans="1:32" ht="15">
      <c r="A18" s="1">
        <v>10</v>
      </c>
      <c r="B18" s="57" t="s">
        <v>43</v>
      </c>
      <c r="C18" s="32">
        <v>1.1</v>
      </c>
      <c r="D18" s="33">
        <v>0.22</v>
      </c>
      <c r="E18" s="34">
        <v>814.1</v>
      </c>
      <c r="F18" s="35">
        <f>E18/E21</f>
        <v>0.7228733795063044</v>
      </c>
      <c r="G18" s="36">
        <f>((D18*F18)/C18)/(D21/C21)</f>
        <v>0.17972304321321175</v>
      </c>
      <c r="H18" s="34">
        <v>44</v>
      </c>
      <c r="I18" s="37">
        <f>(H18/C18)/(H21/C21)*0.7</f>
        <v>5.317307692307692</v>
      </c>
      <c r="J18" s="38">
        <v>1</v>
      </c>
      <c r="K18" s="37">
        <f>G18*G8+I18*I8+(J18*J8*V18)</f>
        <v>1.5910760958210017</v>
      </c>
      <c r="L18" s="38">
        <v>3254.7</v>
      </c>
      <c r="M18" s="37">
        <f>(L18/C18)/(L21/C21)</f>
        <v>1.090500240210388</v>
      </c>
      <c r="N18" s="37">
        <f t="shared" si="0"/>
        <v>0.6853853458515354</v>
      </c>
      <c r="O18" s="37"/>
      <c r="P18" s="37"/>
      <c r="Q18" s="38">
        <f t="shared" si="1"/>
        <v>2004.502391497884</v>
      </c>
      <c r="R18" s="56">
        <f>(L21/C21)*(1.1075-N18)*K18*C18</f>
        <v>2004.502391497884</v>
      </c>
      <c r="S18" s="34">
        <f t="shared" si="2"/>
        <v>5259.202391497884</v>
      </c>
      <c r="T18" s="39">
        <v>1.1075</v>
      </c>
      <c r="U18" s="20">
        <v>1.004</v>
      </c>
      <c r="V18" s="27">
        <f>(1+U18/C18)/(1+U18/94.8)</f>
        <v>1.8926824084020024</v>
      </c>
      <c r="W18" s="1">
        <v>3282.7</v>
      </c>
      <c r="X18" s="1">
        <v>1098.3</v>
      </c>
      <c r="Y18" s="4">
        <f t="shared" si="3"/>
        <v>2004.502391497884</v>
      </c>
      <c r="Z18" s="1">
        <f t="shared" si="8"/>
        <v>3102.802391497884</v>
      </c>
      <c r="AA18" s="5">
        <f>Z18/W18</f>
        <v>0.9451982793121163</v>
      </c>
      <c r="AB18" s="1">
        <f>Z18-W18</f>
        <v>-179.89760850211587</v>
      </c>
      <c r="AC18" s="2"/>
      <c r="AD18" s="4">
        <f t="shared" si="5"/>
        <v>5259.202391497884</v>
      </c>
      <c r="AE18" s="4">
        <f t="shared" si="6"/>
        <v>4781.093083179894</v>
      </c>
      <c r="AF18" s="29">
        <f t="shared" si="7"/>
        <v>4781.093083179894</v>
      </c>
    </row>
    <row r="19" spans="1:32" ht="15">
      <c r="A19" s="1">
        <v>11</v>
      </c>
      <c r="B19" s="57" t="s">
        <v>44</v>
      </c>
      <c r="C19" s="32">
        <v>3.3</v>
      </c>
      <c r="D19" s="33">
        <v>1.7</v>
      </c>
      <c r="E19" s="34">
        <v>1129.2</v>
      </c>
      <c r="F19" s="35">
        <f>E19/E21</f>
        <v>1.0026638252530633</v>
      </c>
      <c r="G19" s="36">
        <f>((D19*F19)/C19)/(D21/C21)</f>
        <v>0.6420988090097817</v>
      </c>
      <c r="H19" s="34">
        <v>26.9</v>
      </c>
      <c r="I19" s="37">
        <f>(H19/C19)/(H21/C21)</f>
        <v>1.5480040792540792</v>
      </c>
      <c r="J19" s="38">
        <v>1</v>
      </c>
      <c r="K19" s="37">
        <f>G19*G8+I19*I8+(J19*J8*V19)</f>
        <v>1.1007740881096821</v>
      </c>
      <c r="L19" s="38">
        <v>6836.7</v>
      </c>
      <c r="M19" s="37">
        <f>(L19/C19)/(L21/C21)</f>
        <v>0.7635545510847248</v>
      </c>
      <c r="N19" s="37">
        <f t="shared" si="0"/>
        <v>0.6936523663960407</v>
      </c>
      <c r="O19" s="37"/>
      <c r="P19" s="37"/>
      <c r="Q19" s="38">
        <f t="shared" si="1"/>
        <v>4078.919432453533</v>
      </c>
      <c r="R19" s="56">
        <f>(L21/C21)*(1.1075-N19)*K19*C19</f>
        <v>4078.919432453533</v>
      </c>
      <c r="S19" s="34">
        <f t="shared" si="2"/>
        <v>10915.619432453532</v>
      </c>
      <c r="T19" s="39">
        <v>1.1075</v>
      </c>
      <c r="U19" s="20">
        <v>1.321</v>
      </c>
      <c r="V19" s="27">
        <f>(1+U19/3.3)/(1+U21/94.8)</f>
        <v>1.3377882421921523</v>
      </c>
      <c r="W19" s="4">
        <v>10853.8</v>
      </c>
      <c r="X19" s="1">
        <v>4339.6</v>
      </c>
      <c r="Y19" s="4">
        <f t="shared" si="3"/>
        <v>4078.919432453533</v>
      </c>
      <c r="Z19" s="1">
        <f t="shared" si="8"/>
        <v>8418.519432453533</v>
      </c>
      <c r="AA19" s="5">
        <f>Z19/W19</f>
        <v>0.7756287597388504</v>
      </c>
      <c r="AB19" s="1">
        <f>Z19-W19</f>
        <v>-2435.280567546466</v>
      </c>
      <c r="AC19" s="2">
        <v>2700</v>
      </c>
      <c r="AD19" s="4">
        <f t="shared" si="5"/>
        <v>13615.619432453532</v>
      </c>
      <c r="AE19" s="4">
        <f t="shared" si="6"/>
        <v>3307.7634643798583</v>
      </c>
      <c r="AF19" s="29">
        <f t="shared" si="7"/>
        <v>4125.945282561676</v>
      </c>
    </row>
    <row r="20" spans="1:32" ht="15">
      <c r="A20" s="1"/>
      <c r="B20" s="3"/>
      <c r="C20" s="32"/>
      <c r="D20" s="33"/>
      <c r="E20" s="34"/>
      <c r="F20" s="41"/>
      <c r="G20" s="41"/>
      <c r="H20" s="42"/>
      <c r="I20" s="43"/>
      <c r="J20" s="38"/>
      <c r="K20" s="37"/>
      <c r="L20" s="38"/>
      <c r="M20" s="37"/>
      <c r="N20" s="37"/>
      <c r="O20" s="37"/>
      <c r="P20" s="37"/>
      <c r="Q20" s="38"/>
      <c r="R20" s="56"/>
      <c r="S20" s="32"/>
      <c r="T20" s="39"/>
      <c r="U20" s="20"/>
      <c r="V20" s="27"/>
      <c r="W20" s="1"/>
      <c r="X20" s="1"/>
      <c r="Y20" s="1"/>
      <c r="Z20" s="1"/>
      <c r="AA20" s="1"/>
      <c r="AB20" s="1"/>
      <c r="AC20" s="2"/>
      <c r="AD20" s="1"/>
      <c r="AE20" s="4"/>
      <c r="AF20" s="29"/>
    </row>
    <row r="21" spans="1:32" ht="15">
      <c r="A21" s="1"/>
      <c r="B21" s="2" t="s">
        <v>45</v>
      </c>
      <c r="C21" s="43">
        <f>SUM(C9:C20)</f>
        <v>94.79999999999998</v>
      </c>
      <c r="D21" s="44">
        <f>SUM(D9:D20)</f>
        <v>76.26</v>
      </c>
      <c r="E21" s="38">
        <v>1126.2</v>
      </c>
      <c r="F21" s="45">
        <v>1</v>
      </c>
      <c r="G21" s="46"/>
      <c r="H21" s="38">
        <f>SUM(H9:H20)</f>
        <v>499.19999999999993</v>
      </c>
      <c r="I21" s="37">
        <v>1</v>
      </c>
      <c r="J21" s="38">
        <v>1</v>
      </c>
      <c r="K21" s="37">
        <v>1</v>
      </c>
      <c r="L21" s="38">
        <f>SUM(L9:L20)</f>
        <v>257217.70000000004</v>
      </c>
      <c r="M21" s="37">
        <v>1</v>
      </c>
      <c r="N21" s="37">
        <v>1</v>
      </c>
      <c r="O21" s="37"/>
      <c r="P21" s="37"/>
      <c r="Q21" s="38">
        <f>R21</f>
        <v>43057.6</v>
      </c>
      <c r="R21" s="56">
        <v>43057.6</v>
      </c>
      <c r="S21" s="34">
        <f>SUM(S9:S20)</f>
        <v>300275.407166026</v>
      </c>
      <c r="T21" s="39"/>
      <c r="U21" s="20">
        <f>SUM(U9:U20)</f>
        <v>4.43</v>
      </c>
      <c r="V21" s="27">
        <v>1</v>
      </c>
      <c r="W21" s="1">
        <f>SUM(W9:W20)</f>
        <v>71408.9</v>
      </c>
      <c r="X21" s="1">
        <f>SUM(X9:X20)</f>
        <v>31665.199999999997</v>
      </c>
      <c r="Y21" s="1">
        <f>SUM(Y9:Y20)</f>
        <v>43057.70716602599</v>
      </c>
      <c r="Z21" s="1">
        <f>SUM(Z9:Z20)</f>
        <v>74722.90716602598</v>
      </c>
      <c r="AA21" s="1"/>
      <c r="AB21" s="1">
        <f>SUM(AB9:AB20)</f>
        <v>-7799.727307002352</v>
      </c>
      <c r="AC21" s="2">
        <f>SUM(AC9:AC20)</f>
        <v>6380</v>
      </c>
      <c r="AD21" s="4">
        <f>SUM(AD9:AD20)</f>
        <v>306655.407166026</v>
      </c>
      <c r="AE21" s="4">
        <f>(L21+R21)/C21</f>
        <v>3167.460970464136</v>
      </c>
      <c r="AF21" s="29">
        <f>AD21/C21</f>
        <v>3234.76167896652</v>
      </c>
    </row>
    <row r="22" ht="12.75">
      <c r="R22" s="21"/>
    </row>
  </sheetData>
  <mergeCells count="1">
    <mergeCell ref="B3:T4"/>
  </mergeCells>
  <hyperlinks>
    <hyperlink ref="I12" r:id="rId1" display="../../Мои документы/к0,7"/>
  </hyperlinks>
  <printOptions/>
  <pageMargins left="1.5748031496062993" right="0" top="0.984251968503937" bottom="0.984251968503937" header="0.5118110236220472" footer="0.5118110236220472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2008-12-02T11:26:26Z</cp:lastPrinted>
  <dcterms:created xsi:type="dcterms:W3CDTF">2005-11-06T09:35:16Z</dcterms:created>
  <dcterms:modified xsi:type="dcterms:W3CDTF">2008-12-02T11:57:11Z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